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\\WDMYCLOUD\iglohome\Projekty\2017\Izba rolnicza (arconbud)\PW do druku\wentylacja\wersja 2\"/>
    </mc:Choice>
  </mc:AlternateContent>
  <bookViews>
    <workbookView xWindow="0" yWindow="0" windowWidth="28800" windowHeight="13935" xr2:uid="{00000000-000D-0000-FFFF-FFFF00000000}"/>
  </bookViews>
  <sheets>
    <sheet name="Arkusz1" sheetId="1" r:id="rId1"/>
  </sheets>
  <definedNames>
    <definedName name="_xlnm.Print_Area" localSheetId="0">Arkusz1!$A$2:$O$38</definedName>
    <definedName name="_xlnm.Print_Titles" localSheetId="0">Arkusz1!$2:$3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" i="1" l="1"/>
  <c r="G12" i="1" l="1"/>
  <c r="J6" i="1" l="1"/>
  <c r="S9" i="1" l="1"/>
  <c r="J27" i="1"/>
  <c r="J36" i="1"/>
  <c r="M35" i="1"/>
  <c r="M34" i="1"/>
  <c r="J32" i="1"/>
  <c r="J31" i="1"/>
  <c r="J30" i="1"/>
  <c r="J28" i="1"/>
  <c r="G27" i="1"/>
  <c r="J26" i="1"/>
  <c r="G26" i="1"/>
  <c r="S12" i="1"/>
  <c r="S10" i="1"/>
  <c r="M6" i="1"/>
  <c r="S7" i="1" s="1"/>
  <c r="J22" i="1"/>
  <c r="G22" i="1"/>
  <c r="M16" i="1"/>
  <c r="M36" i="1" l="1"/>
  <c r="M32" i="1"/>
  <c r="M31" i="1"/>
  <c r="M30" i="1"/>
  <c r="N27" i="1"/>
  <c r="S36" i="1" l="1"/>
  <c r="G37" i="1" l="1"/>
  <c r="J37" i="1" s="1"/>
  <c r="G35" i="1"/>
  <c r="N35" i="1" s="1"/>
  <c r="G30" i="1"/>
  <c r="N30" i="1" s="1"/>
  <c r="G33" i="1"/>
  <c r="J33" i="1" s="1"/>
  <c r="G32" i="1"/>
  <c r="N32" i="1" s="1"/>
  <c r="G31" i="1"/>
  <c r="N31" i="1" s="1"/>
  <c r="S28" i="1"/>
  <c r="G36" i="1"/>
  <c r="N36" i="1" s="1"/>
  <c r="G34" i="1"/>
  <c r="N34" i="1" s="1"/>
  <c r="J29" i="1"/>
  <c r="G29" i="1"/>
  <c r="G28" i="1"/>
  <c r="N28" i="1" s="1"/>
  <c r="J7" i="1"/>
  <c r="J8" i="1"/>
  <c r="J9" i="1"/>
  <c r="J10" i="1"/>
  <c r="J13" i="1"/>
  <c r="J15" i="1"/>
  <c r="J16" i="1"/>
  <c r="J19" i="1"/>
  <c r="J5" i="1"/>
  <c r="G6" i="1"/>
  <c r="G7" i="1"/>
  <c r="G8" i="1"/>
  <c r="G9" i="1"/>
  <c r="G10" i="1"/>
  <c r="G11" i="1"/>
  <c r="G13" i="1"/>
  <c r="M13" i="1" s="1"/>
  <c r="G14" i="1"/>
  <c r="G15" i="1"/>
  <c r="G16" i="1"/>
  <c r="G17" i="1"/>
  <c r="G18" i="1"/>
  <c r="G19" i="1"/>
  <c r="K19" i="1" s="1"/>
  <c r="J18" i="1" s="1"/>
  <c r="G20" i="1"/>
  <c r="J20" i="1" s="1"/>
  <c r="G21" i="1"/>
  <c r="J21" i="1" s="1"/>
  <c r="G5" i="1"/>
  <c r="S15" i="1" l="1"/>
  <c r="J38" i="1"/>
  <c r="S6" i="1"/>
  <c r="M17" i="1"/>
  <c r="N17" i="1" s="1"/>
  <c r="M19" i="1"/>
  <c r="S8" i="1" s="1"/>
  <c r="M15" i="1"/>
  <c r="S11" i="1" s="1"/>
  <c r="N16" i="1"/>
  <c r="N18" i="1"/>
  <c r="J14" i="1"/>
  <c r="N10" i="1"/>
  <c r="N6" i="1" s="1"/>
  <c r="N9" i="1"/>
  <c r="M29" i="1"/>
  <c r="N8" i="1"/>
  <c r="N29" i="1" l="1"/>
  <c r="S16" i="1"/>
  <c r="T7" i="1" s="1"/>
  <c r="M38" i="1"/>
  <c r="N15" i="1"/>
  <c r="M23" i="1"/>
  <c r="T5" i="1"/>
  <c r="J23" i="1"/>
</calcChain>
</file>

<file path=xl/sharedStrings.xml><?xml version="1.0" encoding="utf-8"?>
<sst xmlns="http://schemas.openxmlformats.org/spreadsheetml/2006/main" count="234" uniqueCount="108">
  <si>
    <t>Nr pom.</t>
  </si>
  <si>
    <t>Nazwa pomieszczenia</t>
  </si>
  <si>
    <t>Powierzchnia</t>
  </si>
  <si>
    <t>Kubatura</t>
  </si>
  <si>
    <t>Wysokość</t>
  </si>
  <si>
    <t>m</t>
  </si>
  <si>
    <t>Ilość osób</t>
  </si>
  <si>
    <t>n</t>
  </si>
  <si>
    <t>Ilość pow. went. na osobę</t>
  </si>
  <si>
    <t>m³/h</t>
  </si>
  <si>
    <t>Powietrze nawiewane</t>
  </si>
  <si>
    <t>Infiltracja</t>
  </si>
  <si>
    <t>Eksfiltracja</t>
  </si>
  <si>
    <t>Powietrze wywiewane</t>
  </si>
  <si>
    <t>Krotność wymian powietrza</t>
  </si>
  <si>
    <t>1/h</t>
  </si>
  <si>
    <t>Uwagi</t>
  </si>
  <si>
    <t>-</t>
  </si>
  <si>
    <t>Nr ukł. naw.</t>
  </si>
  <si>
    <t>Nr ukł. wyw.</t>
  </si>
  <si>
    <t>N1</t>
  </si>
  <si>
    <t>W1</t>
  </si>
  <si>
    <t>N2</t>
  </si>
  <si>
    <t>W2</t>
  </si>
  <si>
    <t>N1:</t>
  </si>
  <si>
    <t>N2:</t>
  </si>
  <si>
    <t>N3:</t>
  </si>
  <si>
    <t>N4:</t>
  </si>
  <si>
    <t>TEA1:</t>
  </si>
  <si>
    <t>COPY1:</t>
  </si>
  <si>
    <t>WC:1</t>
  </si>
  <si>
    <t>W1:</t>
  </si>
  <si>
    <t>W2:</t>
  </si>
  <si>
    <t>W3:</t>
  </si>
  <si>
    <t>W4:</t>
  </si>
  <si>
    <t>TEA2:</t>
  </si>
  <si>
    <t>SUMA:</t>
  </si>
  <si>
    <t>Z-1 Bilans powietrza wentylacyjnego</t>
  </si>
  <si>
    <t>0.01</t>
  </si>
  <si>
    <t>Wiatrołap</t>
  </si>
  <si>
    <t>0.02</t>
  </si>
  <si>
    <t>Hol</t>
  </si>
  <si>
    <t>0.03</t>
  </si>
  <si>
    <t>Klatka schodowa</t>
  </si>
  <si>
    <t>0.04</t>
  </si>
  <si>
    <t>Spółka izbowa</t>
  </si>
  <si>
    <t>0.05</t>
  </si>
  <si>
    <t>Pom. do wynajęcia</t>
  </si>
  <si>
    <t>0.06</t>
  </si>
  <si>
    <t>0.07</t>
  </si>
  <si>
    <t>Pom. techniczne</t>
  </si>
  <si>
    <t>0.08</t>
  </si>
  <si>
    <t>Pom. gospodarcze</t>
  </si>
  <si>
    <t>0.09</t>
  </si>
  <si>
    <t>Kotłownia</t>
  </si>
  <si>
    <t>Wentylacja grawitacyjna</t>
  </si>
  <si>
    <t>Brak wentylacji</t>
  </si>
  <si>
    <t>0.10</t>
  </si>
  <si>
    <t>Pomieszczenie socjalne</t>
  </si>
  <si>
    <t>0.11</t>
  </si>
  <si>
    <t>0.12</t>
  </si>
  <si>
    <t>0.13</t>
  </si>
  <si>
    <t>WC Damski</t>
  </si>
  <si>
    <t>WC niepełnosprawnych</t>
  </si>
  <si>
    <t>WC Męski</t>
  </si>
  <si>
    <t>0.14</t>
  </si>
  <si>
    <t>Sala szkoleniowa</t>
  </si>
  <si>
    <t>WS1</t>
  </si>
  <si>
    <t>WT1</t>
  </si>
  <si>
    <t>WT2</t>
  </si>
  <si>
    <t>0.15</t>
  </si>
  <si>
    <t>Garderoba</t>
  </si>
  <si>
    <t>0.16</t>
  </si>
  <si>
    <t>Catering rozdzielnia</t>
  </si>
  <si>
    <t>WG1</t>
  </si>
  <si>
    <t>0.17</t>
  </si>
  <si>
    <t>Catering zmywalnia</t>
  </si>
  <si>
    <t>0.18</t>
  </si>
  <si>
    <t>POZIOM 0</t>
  </si>
  <si>
    <t>WT1:</t>
  </si>
  <si>
    <t>WT2:</t>
  </si>
  <si>
    <t>WS1:</t>
  </si>
  <si>
    <t>WG1:</t>
  </si>
  <si>
    <t>1.01</t>
  </si>
  <si>
    <t>1.02</t>
  </si>
  <si>
    <t>Sekretariat</t>
  </si>
  <si>
    <t>1.03</t>
  </si>
  <si>
    <t>Pom. dyrektora</t>
  </si>
  <si>
    <t>1.04</t>
  </si>
  <si>
    <t>1.05</t>
  </si>
  <si>
    <t>Pom. specjalistów</t>
  </si>
  <si>
    <t>1.06</t>
  </si>
  <si>
    <t>Księgowość</t>
  </si>
  <si>
    <t>1.07</t>
  </si>
  <si>
    <t>Kasa i kadry</t>
  </si>
  <si>
    <t>1.08</t>
  </si>
  <si>
    <t>Pom. socjalne</t>
  </si>
  <si>
    <t>1.09</t>
  </si>
  <si>
    <t>1.10</t>
  </si>
  <si>
    <t>1.11</t>
  </si>
  <si>
    <t>Pom. zarządu</t>
  </si>
  <si>
    <t>1.12</t>
  </si>
  <si>
    <t>Archiwum</t>
  </si>
  <si>
    <t>POZIOM +1</t>
  </si>
  <si>
    <t>N3</t>
  </si>
  <si>
    <t>W3</t>
  </si>
  <si>
    <r>
      <t>m</t>
    </r>
    <r>
      <rPr>
        <sz val="11"/>
        <color theme="1"/>
        <rFont val="Calibri"/>
        <family val="2"/>
        <charset val="238"/>
        <scheme val="minor"/>
      </rPr>
      <t>²</t>
    </r>
  </si>
  <si>
    <r>
      <t>m</t>
    </r>
    <r>
      <rPr>
        <sz val="11"/>
        <color theme="1"/>
        <rFont val="Calibri"/>
        <family val="2"/>
        <charset val="238"/>
        <scheme val="minor"/>
      </rPr>
      <t>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</si>
</sst>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8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Calibri"/>
      <family val="2"/>
      <charset val="238"/>
      <scheme val="minor"/>
    </font>
    <font>
      <sz val="8"/>
      <color rgb="FF00B0F0"/>
      <name val="Arial Narrow"/>
      <family val="2"/>
      <charset val="238"/>
    </font>
    <font>
      <sz val="8"/>
      <color rgb="FFFF0000"/>
      <name val="Arial Narrow"/>
      <family val="2"/>
      <charset val="238"/>
    </font>
    <font>
      <sz val="8"/>
      <color theme="9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2" borderId="2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164" fontId="6" fillId="0" borderId="2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164" fontId="6" fillId="0" borderId="7" xfId="0" applyNumberFormat="1" applyFont="1" applyFill="1" applyBorder="1" applyAlignment="1">
      <alignment horizontal="right" vertical="center" wrapText="1"/>
    </xf>
    <xf numFmtId="0" fontId="6" fillId="0" borderId="7" xfId="0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3" borderId="22" xfId="0" applyFont="1" applyFill="1" applyBorder="1" applyAlignment="1">
      <alignment horizontal="right" vertical="center" wrapText="1"/>
    </xf>
    <xf numFmtId="0" fontId="4" fillId="3" borderId="9" xfId="0" applyFont="1" applyFill="1" applyBorder="1" applyAlignment="1">
      <alignment horizontal="right" vertical="center" wrapText="1"/>
    </xf>
    <xf numFmtId="0" fontId="4" fillId="3" borderId="10" xfId="0" applyFont="1" applyFill="1" applyBorder="1" applyAlignment="1">
      <alignment horizontal="right" vertical="center" wrapText="1"/>
    </xf>
    <xf numFmtId="0" fontId="4" fillId="3" borderId="8" xfId="0" applyFont="1" applyFill="1" applyBorder="1" applyAlignment="1">
      <alignment horizontal="right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2" fontId="6" fillId="0" borderId="23" xfId="1" applyNumberFormat="1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21" xfId="0" applyFont="1" applyFill="1" applyBorder="1" applyAlignment="1">
      <alignment horizontal="center" vertical="center" wrapText="1"/>
    </xf>
    <xf numFmtId="2" fontId="6" fillId="0" borderId="23" xfId="1" applyNumberFormat="1" applyFont="1" applyFill="1" applyBorder="1"/>
    <xf numFmtId="1" fontId="6" fillId="0" borderId="23" xfId="1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 wrapText="1"/>
    </xf>
    <xf numFmtId="2" fontId="6" fillId="0" borderId="23" xfId="1" applyNumberFormat="1" applyFont="1" applyFill="1" applyBorder="1" applyAlignment="1">
      <alignment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8"/>
  <sheetViews>
    <sheetView tabSelected="1" view="pageBreakPreview" zoomScaleSheetLayoutView="100" workbookViewId="0">
      <selection activeCell="M18" sqref="M18"/>
    </sheetView>
  </sheetViews>
  <sheetFormatPr defaultRowHeight="12.75"/>
  <cols>
    <col min="1" max="1" width="5.5703125" style="2" customWidth="1"/>
    <col min="2" max="2" width="7.5703125" style="2" customWidth="1"/>
    <col min="3" max="3" width="6.7109375" style="2" customWidth="1"/>
    <col min="4" max="4" width="20.7109375" style="2" customWidth="1"/>
    <col min="5" max="5" width="9.7109375" style="2" customWidth="1"/>
    <col min="6" max="6" width="7.7109375" style="2" customWidth="1"/>
    <col min="7" max="7" width="7.140625" style="2" customWidth="1"/>
    <col min="8" max="8" width="5.7109375" style="2" customWidth="1"/>
    <col min="9" max="9" width="7.7109375" style="2" customWidth="1"/>
    <col min="10" max="10" width="8" style="2" customWidth="1"/>
    <col min="11" max="11" width="7" style="3" customWidth="1"/>
    <col min="12" max="12" width="7.5703125" style="3" customWidth="1"/>
    <col min="13" max="13" width="8.28515625" style="2" customWidth="1"/>
    <col min="14" max="14" width="8.140625" style="2" customWidth="1"/>
    <col min="15" max="15" width="21.85546875" style="2" customWidth="1"/>
    <col min="16" max="16384" width="9.140625" style="2"/>
  </cols>
  <sheetData>
    <row r="1" spans="1:20" ht="18.75" customHeight="1" thickBot="1">
      <c r="A1" s="1" t="s">
        <v>37</v>
      </c>
      <c r="B1" s="1"/>
      <c r="C1" s="1"/>
      <c r="D1" s="1"/>
      <c r="E1" s="1"/>
    </row>
    <row r="2" spans="1:20" s="10" customFormat="1" ht="39.950000000000003" customHeight="1">
      <c r="A2" s="4" t="s">
        <v>18</v>
      </c>
      <c r="B2" s="5" t="s">
        <v>19</v>
      </c>
      <c r="C2" s="6" t="s">
        <v>0</v>
      </c>
      <c r="D2" s="5" t="s">
        <v>1</v>
      </c>
      <c r="E2" s="7" t="s">
        <v>2</v>
      </c>
      <c r="F2" s="7" t="s">
        <v>4</v>
      </c>
      <c r="G2" s="7" t="s">
        <v>3</v>
      </c>
      <c r="H2" s="7" t="s">
        <v>6</v>
      </c>
      <c r="I2" s="7" t="s">
        <v>8</v>
      </c>
      <c r="J2" s="7" t="s">
        <v>10</v>
      </c>
      <c r="K2" s="8" t="s">
        <v>11</v>
      </c>
      <c r="L2" s="8" t="s">
        <v>12</v>
      </c>
      <c r="M2" s="7" t="s">
        <v>13</v>
      </c>
      <c r="N2" s="7" t="s">
        <v>14</v>
      </c>
      <c r="O2" s="9" t="s">
        <v>16</v>
      </c>
    </row>
    <row r="3" spans="1:20" s="17" customFormat="1" ht="12" customHeight="1">
      <c r="A3" s="11"/>
      <c r="B3" s="12"/>
      <c r="C3" s="13"/>
      <c r="D3" s="12"/>
      <c r="E3" s="14" t="s">
        <v>106</v>
      </c>
      <c r="F3" s="14" t="s">
        <v>5</v>
      </c>
      <c r="G3" s="14" t="s">
        <v>107</v>
      </c>
      <c r="H3" s="14" t="s">
        <v>7</v>
      </c>
      <c r="I3" s="14" t="s">
        <v>9</v>
      </c>
      <c r="J3" s="14" t="s">
        <v>9</v>
      </c>
      <c r="K3" s="15" t="s">
        <v>9</v>
      </c>
      <c r="L3" s="15" t="s">
        <v>9</v>
      </c>
      <c r="M3" s="14" t="s">
        <v>9</v>
      </c>
      <c r="N3" s="14" t="s">
        <v>15</v>
      </c>
      <c r="O3" s="16"/>
    </row>
    <row r="4" spans="1:20" s="21" customFormat="1" ht="12" customHeight="1" thickBot="1">
      <c r="A4" s="18" t="s">
        <v>78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20"/>
    </row>
    <row r="5" spans="1:20" s="27" customFormat="1" ht="12" customHeight="1">
      <c r="A5" s="22" t="s">
        <v>17</v>
      </c>
      <c r="B5" s="22" t="s">
        <v>17</v>
      </c>
      <c r="C5" s="23" t="s">
        <v>38</v>
      </c>
      <c r="D5" s="23" t="s">
        <v>39</v>
      </c>
      <c r="E5" s="24">
        <v>12.26</v>
      </c>
      <c r="F5" s="25">
        <v>3</v>
      </c>
      <c r="G5" s="24">
        <f>E5*F5</f>
        <v>36.78</v>
      </c>
      <c r="H5" s="25" t="s">
        <v>17</v>
      </c>
      <c r="I5" s="25" t="s">
        <v>17</v>
      </c>
      <c r="J5" s="25" t="str">
        <f>IF(H5="-","-",H5*I5)</f>
        <v>-</v>
      </c>
      <c r="K5" s="25" t="s">
        <v>17</v>
      </c>
      <c r="L5" s="25" t="s">
        <v>17</v>
      </c>
      <c r="M5" s="25" t="s">
        <v>17</v>
      </c>
      <c r="N5" s="25" t="s">
        <v>17</v>
      </c>
      <c r="O5" s="26" t="s">
        <v>56</v>
      </c>
      <c r="R5" s="28" t="s">
        <v>24</v>
      </c>
      <c r="S5" s="28">
        <f>J6+J8+J9+J10+J20+J21</f>
        <v>893</v>
      </c>
      <c r="T5" s="28">
        <f>S5+S15</f>
        <v>1859</v>
      </c>
    </row>
    <row r="6" spans="1:20" s="27" customFormat="1" ht="12" customHeight="1">
      <c r="A6" s="29" t="s">
        <v>20</v>
      </c>
      <c r="B6" s="29" t="s">
        <v>21</v>
      </c>
      <c r="C6" s="30" t="s">
        <v>40</v>
      </c>
      <c r="D6" s="30" t="s">
        <v>41</v>
      </c>
      <c r="E6" s="31">
        <v>45.16</v>
      </c>
      <c r="F6" s="32">
        <v>3</v>
      </c>
      <c r="G6" s="33">
        <f t="shared" ref="G6:G21" si="0">E6*F6</f>
        <v>135.47999999999999</v>
      </c>
      <c r="H6" s="34">
        <v>6</v>
      </c>
      <c r="I6" s="34">
        <v>30</v>
      </c>
      <c r="J6" s="34">
        <f>IF(H6="-","-",H6*I6)+K11+K12+K15+K16+K17</f>
        <v>405</v>
      </c>
      <c r="K6" s="34">
        <v>0</v>
      </c>
      <c r="L6" s="34">
        <v>0</v>
      </c>
      <c r="M6" s="34">
        <f>H6*I6</f>
        <v>180</v>
      </c>
      <c r="N6" s="34">
        <f t="shared" ref="N6:N29" si="1">IF(H6="-",ROUNDDOWN(M6/G6,0),ROUNDDOWN(J6/G6,0))</f>
        <v>2</v>
      </c>
      <c r="O6" s="35"/>
      <c r="R6" s="28" t="s">
        <v>25</v>
      </c>
      <c r="S6" s="28">
        <f>J18+J20+J21</f>
        <v>944</v>
      </c>
      <c r="T6" s="28"/>
    </row>
    <row r="7" spans="1:20" s="27" customFormat="1" ht="12" customHeight="1">
      <c r="A7" s="36" t="s">
        <v>17</v>
      </c>
      <c r="B7" s="36" t="s">
        <v>17</v>
      </c>
      <c r="C7" s="37" t="s">
        <v>42</v>
      </c>
      <c r="D7" s="37" t="s">
        <v>43</v>
      </c>
      <c r="E7" s="33">
        <v>34.270000000000003</v>
      </c>
      <c r="F7" s="34">
        <v>3</v>
      </c>
      <c r="G7" s="33">
        <f t="shared" si="0"/>
        <v>102.81</v>
      </c>
      <c r="H7" s="34" t="s">
        <v>17</v>
      </c>
      <c r="I7" s="34" t="s">
        <v>17</v>
      </c>
      <c r="J7" s="34" t="str">
        <f t="shared" ref="J7:J19" si="2">IF(H7="-","-",H7*I7)</f>
        <v>-</v>
      </c>
      <c r="K7" s="34" t="s">
        <v>17</v>
      </c>
      <c r="L7" s="34" t="s">
        <v>17</v>
      </c>
      <c r="M7" s="34" t="s">
        <v>17</v>
      </c>
      <c r="N7" s="34" t="s">
        <v>17</v>
      </c>
      <c r="O7" s="35" t="s">
        <v>55</v>
      </c>
      <c r="R7" s="28" t="s">
        <v>31</v>
      </c>
      <c r="S7" s="28">
        <f>M6+M8+M9+M10</f>
        <v>360</v>
      </c>
      <c r="T7" s="28">
        <f>S7+S16</f>
        <v>1144</v>
      </c>
    </row>
    <row r="8" spans="1:20" s="27" customFormat="1" ht="12" customHeight="1">
      <c r="A8" s="36" t="s">
        <v>20</v>
      </c>
      <c r="B8" s="36" t="s">
        <v>21</v>
      </c>
      <c r="C8" s="37" t="s">
        <v>44</v>
      </c>
      <c r="D8" s="37" t="s">
        <v>45</v>
      </c>
      <c r="E8" s="33">
        <v>14.89</v>
      </c>
      <c r="F8" s="34">
        <v>3</v>
      </c>
      <c r="G8" s="33">
        <f t="shared" si="0"/>
        <v>44.67</v>
      </c>
      <c r="H8" s="34">
        <v>2</v>
      </c>
      <c r="I8" s="34">
        <v>30</v>
      </c>
      <c r="J8" s="34">
        <f t="shared" si="2"/>
        <v>60</v>
      </c>
      <c r="K8" s="34">
        <v>0</v>
      </c>
      <c r="L8" s="34">
        <v>0</v>
      </c>
      <c r="M8" s="34">
        <v>60</v>
      </c>
      <c r="N8" s="34">
        <f t="shared" si="1"/>
        <v>1</v>
      </c>
      <c r="O8" s="35"/>
      <c r="R8" s="28" t="s">
        <v>32</v>
      </c>
      <c r="S8" s="28">
        <f>M18+M19</f>
        <v>636</v>
      </c>
    </row>
    <row r="9" spans="1:20" s="27" customFormat="1" ht="12" customHeight="1">
      <c r="A9" s="36" t="s">
        <v>20</v>
      </c>
      <c r="B9" s="36" t="s">
        <v>21</v>
      </c>
      <c r="C9" s="37" t="s">
        <v>46</v>
      </c>
      <c r="D9" s="37" t="s">
        <v>47</v>
      </c>
      <c r="E9" s="33">
        <v>13.31</v>
      </c>
      <c r="F9" s="34">
        <v>3</v>
      </c>
      <c r="G9" s="33">
        <f t="shared" si="0"/>
        <v>39.93</v>
      </c>
      <c r="H9" s="34">
        <v>2</v>
      </c>
      <c r="I9" s="34">
        <v>30</v>
      </c>
      <c r="J9" s="34">
        <f t="shared" si="2"/>
        <v>60</v>
      </c>
      <c r="K9" s="34">
        <v>0</v>
      </c>
      <c r="L9" s="34">
        <v>0</v>
      </c>
      <c r="M9" s="34">
        <v>60</v>
      </c>
      <c r="N9" s="34">
        <f t="shared" si="1"/>
        <v>1</v>
      </c>
      <c r="O9" s="35"/>
      <c r="R9" s="28" t="s">
        <v>79</v>
      </c>
      <c r="S9" s="28">
        <f>M14+M33</f>
        <v>118</v>
      </c>
    </row>
    <row r="10" spans="1:20" s="27" customFormat="1" ht="12" customHeight="1">
      <c r="A10" s="36" t="s">
        <v>20</v>
      </c>
      <c r="B10" s="36" t="s">
        <v>21</v>
      </c>
      <c r="C10" s="37" t="s">
        <v>48</v>
      </c>
      <c r="D10" s="37" t="s">
        <v>47</v>
      </c>
      <c r="E10" s="33">
        <v>13.31</v>
      </c>
      <c r="F10" s="34">
        <v>3</v>
      </c>
      <c r="G10" s="33">
        <f t="shared" si="0"/>
        <v>39.93</v>
      </c>
      <c r="H10" s="34">
        <v>2</v>
      </c>
      <c r="I10" s="34">
        <v>30</v>
      </c>
      <c r="J10" s="34">
        <f t="shared" si="2"/>
        <v>60</v>
      </c>
      <c r="K10" s="34">
        <v>0</v>
      </c>
      <c r="L10" s="34">
        <v>0</v>
      </c>
      <c r="M10" s="34">
        <v>60</v>
      </c>
      <c r="N10" s="34">
        <f t="shared" si="1"/>
        <v>1</v>
      </c>
      <c r="O10" s="35"/>
      <c r="R10" s="28" t="s">
        <v>80</v>
      </c>
      <c r="S10" s="28">
        <f>M11+M12</f>
        <v>70</v>
      </c>
    </row>
    <row r="11" spans="1:20" s="27" customFormat="1" ht="12" customHeight="1">
      <c r="A11" s="36" t="s">
        <v>17</v>
      </c>
      <c r="B11" s="36" t="s">
        <v>69</v>
      </c>
      <c r="C11" s="37" t="s">
        <v>49</v>
      </c>
      <c r="D11" s="37" t="s">
        <v>50</v>
      </c>
      <c r="E11" s="33">
        <v>6.48</v>
      </c>
      <c r="F11" s="34">
        <v>3</v>
      </c>
      <c r="G11" s="33">
        <f t="shared" si="0"/>
        <v>19.440000000000001</v>
      </c>
      <c r="H11" s="34" t="s">
        <v>17</v>
      </c>
      <c r="I11" s="34" t="s">
        <v>17</v>
      </c>
      <c r="J11" s="34">
        <v>40</v>
      </c>
      <c r="K11" s="34">
        <v>0</v>
      </c>
      <c r="L11" s="34">
        <v>0</v>
      </c>
      <c r="M11" s="34">
        <v>40</v>
      </c>
      <c r="N11" s="34">
        <v>2</v>
      </c>
      <c r="O11" s="35"/>
      <c r="R11" s="28" t="s">
        <v>81</v>
      </c>
      <c r="S11" s="28">
        <f>M15+M16+M17+M34+M35</f>
        <v>350</v>
      </c>
    </row>
    <row r="12" spans="1:20" s="27" customFormat="1" ht="12" customHeight="1">
      <c r="A12" s="36" t="s">
        <v>17</v>
      </c>
      <c r="B12" s="36" t="s">
        <v>69</v>
      </c>
      <c r="C12" s="37" t="s">
        <v>51</v>
      </c>
      <c r="D12" s="37" t="s">
        <v>52</v>
      </c>
      <c r="E12" s="33">
        <v>3.81</v>
      </c>
      <c r="F12" s="34">
        <v>3</v>
      </c>
      <c r="G12" s="33">
        <f>E12*F12</f>
        <v>11.43</v>
      </c>
      <c r="H12" s="34" t="s">
        <v>17</v>
      </c>
      <c r="I12" s="34" t="s">
        <v>17</v>
      </c>
      <c r="J12" s="34">
        <v>30</v>
      </c>
      <c r="K12" s="34">
        <v>0</v>
      </c>
      <c r="L12" s="34">
        <v>0</v>
      </c>
      <c r="M12" s="34">
        <v>30</v>
      </c>
      <c r="N12" s="34">
        <v>2</v>
      </c>
      <c r="O12" s="35"/>
      <c r="R12" s="28" t="s">
        <v>82</v>
      </c>
      <c r="S12" s="28">
        <f>M20+M21</f>
        <v>308</v>
      </c>
    </row>
    <row r="13" spans="1:20" s="27" customFormat="1" ht="12" customHeight="1">
      <c r="A13" s="36" t="s">
        <v>17</v>
      </c>
      <c r="B13" s="36" t="s">
        <v>17</v>
      </c>
      <c r="C13" s="37" t="s">
        <v>53</v>
      </c>
      <c r="D13" s="37" t="s">
        <v>54</v>
      </c>
      <c r="E13" s="33">
        <v>11.44</v>
      </c>
      <c r="F13" s="34">
        <v>3.4</v>
      </c>
      <c r="G13" s="33">
        <f t="shared" si="0"/>
        <v>38.896000000000001</v>
      </c>
      <c r="H13" s="34" t="s">
        <v>17</v>
      </c>
      <c r="I13" s="34" t="s">
        <v>17</v>
      </c>
      <c r="J13" s="34" t="str">
        <f t="shared" si="2"/>
        <v>-</v>
      </c>
      <c r="K13" s="34">
        <v>0</v>
      </c>
      <c r="L13" s="34">
        <v>0</v>
      </c>
      <c r="M13" s="34">
        <f>ROUNDUP(G13*N13,0)</f>
        <v>78</v>
      </c>
      <c r="N13" s="34">
        <v>2</v>
      </c>
      <c r="O13" s="35" t="s">
        <v>55</v>
      </c>
      <c r="R13" s="28"/>
      <c r="S13" s="28"/>
    </row>
    <row r="14" spans="1:20" s="27" customFormat="1" ht="12" customHeight="1">
      <c r="A14" s="36" t="s">
        <v>17</v>
      </c>
      <c r="B14" s="36" t="s">
        <v>68</v>
      </c>
      <c r="C14" s="37" t="s">
        <v>57</v>
      </c>
      <c r="D14" s="37" t="s">
        <v>58</v>
      </c>
      <c r="E14" s="33">
        <v>10.029999999999999</v>
      </c>
      <c r="F14" s="34">
        <v>3</v>
      </c>
      <c r="G14" s="33">
        <f t="shared" si="0"/>
        <v>30.089999999999996</v>
      </c>
      <c r="H14" s="34" t="s">
        <v>17</v>
      </c>
      <c r="I14" s="34" t="s">
        <v>17</v>
      </c>
      <c r="J14" s="34">
        <f>ROUNDUP(G14*N14,0)</f>
        <v>61</v>
      </c>
      <c r="K14" s="34">
        <v>0</v>
      </c>
      <c r="L14" s="34">
        <v>0</v>
      </c>
      <c r="M14" s="34">
        <v>61</v>
      </c>
      <c r="N14" s="34">
        <v>2</v>
      </c>
      <c r="O14" s="35"/>
      <c r="R14" s="28"/>
      <c r="S14" s="28"/>
    </row>
    <row r="15" spans="1:20" s="27" customFormat="1" ht="12" customHeight="1">
      <c r="A15" s="36" t="s">
        <v>17</v>
      </c>
      <c r="B15" s="36" t="s">
        <v>67</v>
      </c>
      <c r="C15" s="37" t="s">
        <v>59</v>
      </c>
      <c r="D15" s="37" t="s">
        <v>62</v>
      </c>
      <c r="E15" s="33">
        <v>11.02</v>
      </c>
      <c r="F15" s="34">
        <v>3</v>
      </c>
      <c r="G15" s="33">
        <f t="shared" si="0"/>
        <v>33.06</v>
      </c>
      <c r="H15" s="34" t="s">
        <v>17</v>
      </c>
      <c r="I15" s="34" t="s">
        <v>17</v>
      </c>
      <c r="J15" s="34" t="str">
        <f t="shared" si="2"/>
        <v>-</v>
      </c>
      <c r="K15" s="34">
        <v>100</v>
      </c>
      <c r="L15" s="34">
        <v>0</v>
      </c>
      <c r="M15" s="34">
        <f t="shared" ref="M15:M19" si="3">IF(H15="-",K15-L15,J15+K15-L15)</f>
        <v>100</v>
      </c>
      <c r="N15" s="34">
        <f t="shared" si="1"/>
        <v>3</v>
      </c>
      <c r="O15" s="35"/>
      <c r="R15" s="28" t="s">
        <v>24</v>
      </c>
      <c r="S15" s="28">
        <f>J27+J28+J29+J30+J31+J32+J33+J36+J37</f>
        <v>966</v>
      </c>
    </row>
    <row r="16" spans="1:20" s="27" customFormat="1" ht="12" customHeight="1">
      <c r="A16" s="36" t="s">
        <v>17</v>
      </c>
      <c r="B16" s="36" t="s">
        <v>67</v>
      </c>
      <c r="C16" s="37" t="s">
        <v>60</v>
      </c>
      <c r="D16" s="37" t="s">
        <v>63</v>
      </c>
      <c r="E16" s="33">
        <v>6.2</v>
      </c>
      <c r="F16" s="34">
        <v>3</v>
      </c>
      <c r="G16" s="33">
        <f t="shared" si="0"/>
        <v>18.600000000000001</v>
      </c>
      <c r="H16" s="34" t="s">
        <v>17</v>
      </c>
      <c r="I16" s="34" t="s">
        <v>17</v>
      </c>
      <c r="J16" s="34" t="str">
        <f t="shared" si="2"/>
        <v>-</v>
      </c>
      <c r="K16" s="34">
        <v>50</v>
      </c>
      <c r="L16" s="34">
        <v>0</v>
      </c>
      <c r="M16" s="34">
        <f t="shared" si="3"/>
        <v>50</v>
      </c>
      <c r="N16" s="34">
        <f t="shared" si="1"/>
        <v>2</v>
      </c>
      <c r="O16" s="35"/>
      <c r="R16" s="28" t="s">
        <v>31</v>
      </c>
      <c r="S16" s="28">
        <f>M28+M29+M30+M31+M32+M36+M37</f>
        <v>784</v>
      </c>
    </row>
    <row r="17" spans="1:19" s="27" customFormat="1" ht="12" customHeight="1">
      <c r="A17" s="36" t="s">
        <v>17</v>
      </c>
      <c r="B17" s="36" t="s">
        <v>67</v>
      </c>
      <c r="C17" s="37" t="s">
        <v>61</v>
      </c>
      <c r="D17" s="37" t="s">
        <v>64</v>
      </c>
      <c r="E17" s="33">
        <v>11.02</v>
      </c>
      <c r="F17" s="34">
        <v>3</v>
      </c>
      <c r="G17" s="33">
        <f t="shared" si="0"/>
        <v>33.06</v>
      </c>
      <c r="H17" s="34" t="s">
        <v>17</v>
      </c>
      <c r="I17" s="34" t="s">
        <v>17</v>
      </c>
      <c r="J17" s="34" t="s">
        <v>17</v>
      </c>
      <c r="K17" s="34">
        <v>75</v>
      </c>
      <c r="L17" s="34">
        <v>0</v>
      </c>
      <c r="M17" s="34">
        <f t="shared" si="3"/>
        <v>75</v>
      </c>
      <c r="N17" s="34">
        <f t="shared" si="1"/>
        <v>2</v>
      </c>
      <c r="O17" s="35"/>
      <c r="R17" s="28"/>
      <c r="S17" s="28"/>
    </row>
    <row r="18" spans="1:19" s="27" customFormat="1" ht="12" customHeight="1">
      <c r="A18" s="36" t="s">
        <v>22</v>
      </c>
      <c r="B18" s="36" t="s">
        <v>23</v>
      </c>
      <c r="C18" s="37" t="s">
        <v>65</v>
      </c>
      <c r="D18" s="37" t="s">
        <v>66</v>
      </c>
      <c r="E18" s="33">
        <v>108.21</v>
      </c>
      <c r="F18" s="34">
        <v>6.75</v>
      </c>
      <c r="G18" s="33">
        <f t="shared" si="0"/>
        <v>730.4174999999999</v>
      </c>
      <c r="H18" s="34">
        <v>20</v>
      </c>
      <c r="I18" s="34">
        <v>30</v>
      </c>
      <c r="J18" s="34">
        <f>IF(H18="-","-",H18*I18)+K19</f>
        <v>636</v>
      </c>
      <c r="K18" s="34">
        <v>0</v>
      </c>
      <c r="L18" s="34">
        <v>0</v>
      </c>
      <c r="M18" s="34">
        <v>600</v>
      </c>
      <c r="N18" s="34">
        <f t="shared" si="1"/>
        <v>0</v>
      </c>
      <c r="O18" s="35"/>
      <c r="R18" s="28"/>
      <c r="S18" s="28"/>
    </row>
    <row r="19" spans="1:19" s="28" customFormat="1" ht="12" customHeight="1">
      <c r="A19" s="36" t="s">
        <v>17</v>
      </c>
      <c r="B19" s="36" t="s">
        <v>23</v>
      </c>
      <c r="C19" s="37" t="s">
        <v>70</v>
      </c>
      <c r="D19" s="37" t="s">
        <v>71</v>
      </c>
      <c r="E19" s="33">
        <v>5.84</v>
      </c>
      <c r="F19" s="34">
        <v>3</v>
      </c>
      <c r="G19" s="33">
        <f t="shared" si="0"/>
        <v>17.52</v>
      </c>
      <c r="H19" s="34" t="s">
        <v>17</v>
      </c>
      <c r="I19" s="34" t="s">
        <v>17</v>
      </c>
      <c r="J19" s="34" t="str">
        <f t="shared" si="2"/>
        <v>-</v>
      </c>
      <c r="K19" s="34">
        <f>ROUNDUP(G19*N19,0)</f>
        <v>36</v>
      </c>
      <c r="L19" s="34">
        <v>0</v>
      </c>
      <c r="M19" s="34">
        <f t="shared" si="3"/>
        <v>36</v>
      </c>
      <c r="N19" s="34">
        <v>2</v>
      </c>
      <c r="O19" s="35"/>
    </row>
    <row r="20" spans="1:19" s="28" customFormat="1" ht="12" customHeight="1">
      <c r="A20" s="36" t="s">
        <v>20</v>
      </c>
      <c r="B20" s="36" t="s">
        <v>74</v>
      </c>
      <c r="C20" s="37" t="s">
        <v>72</v>
      </c>
      <c r="D20" s="37" t="s">
        <v>73</v>
      </c>
      <c r="E20" s="33">
        <v>7.34</v>
      </c>
      <c r="F20" s="34">
        <v>3</v>
      </c>
      <c r="G20" s="33">
        <f t="shared" si="0"/>
        <v>22.02</v>
      </c>
      <c r="H20" s="34" t="s">
        <v>17</v>
      </c>
      <c r="I20" s="34" t="s">
        <v>17</v>
      </c>
      <c r="J20" s="34">
        <f>ROUNDUP(G20*N20,0)</f>
        <v>177</v>
      </c>
      <c r="K20" s="34">
        <v>0</v>
      </c>
      <c r="L20" s="34">
        <v>0</v>
      </c>
      <c r="M20" s="34">
        <v>177</v>
      </c>
      <c r="N20" s="34">
        <v>8</v>
      </c>
      <c r="O20" s="35"/>
    </row>
    <row r="21" spans="1:19" s="27" customFormat="1" ht="12" customHeight="1">
      <c r="A21" s="36" t="s">
        <v>20</v>
      </c>
      <c r="B21" s="36" t="s">
        <v>74</v>
      </c>
      <c r="C21" s="37" t="s">
        <v>75</v>
      </c>
      <c r="D21" s="37" t="s">
        <v>76</v>
      </c>
      <c r="E21" s="33">
        <v>4.3499999999999996</v>
      </c>
      <c r="F21" s="34">
        <v>3</v>
      </c>
      <c r="G21" s="33">
        <f t="shared" si="0"/>
        <v>13.049999999999999</v>
      </c>
      <c r="H21" s="34" t="s">
        <v>17</v>
      </c>
      <c r="I21" s="34" t="s">
        <v>17</v>
      </c>
      <c r="J21" s="34">
        <f>ROUNDUP(G21*N21,0)</f>
        <v>131</v>
      </c>
      <c r="K21" s="34">
        <v>0</v>
      </c>
      <c r="L21" s="34">
        <v>0</v>
      </c>
      <c r="M21" s="34">
        <v>131</v>
      </c>
      <c r="N21" s="34">
        <v>10</v>
      </c>
      <c r="O21" s="38"/>
    </row>
    <row r="22" spans="1:19" s="27" customFormat="1" ht="12" customHeight="1" thickBot="1">
      <c r="A22" s="36" t="s">
        <v>17</v>
      </c>
      <c r="B22" s="36" t="s">
        <v>17</v>
      </c>
      <c r="C22" s="37" t="s">
        <v>77</v>
      </c>
      <c r="D22" s="37" t="s">
        <v>39</v>
      </c>
      <c r="E22" s="33">
        <v>3.92</v>
      </c>
      <c r="F22" s="34">
        <v>3</v>
      </c>
      <c r="G22" s="33">
        <f>E22*F22</f>
        <v>11.76</v>
      </c>
      <c r="H22" s="34" t="s">
        <v>17</v>
      </c>
      <c r="I22" s="34" t="s">
        <v>17</v>
      </c>
      <c r="J22" s="34" t="str">
        <f>IF(H22="-","-",H22*I22)</f>
        <v>-</v>
      </c>
      <c r="K22" s="34" t="s">
        <v>17</v>
      </c>
      <c r="L22" s="34" t="s">
        <v>17</v>
      </c>
      <c r="M22" s="34" t="s">
        <v>17</v>
      </c>
      <c r="N22" s="34" t="s">
        <v>17</v>
      </c>
      <c r="O22" s="38" t="s">
        <v>56</v>
      </c>
    </row>
    <row r="23" spans="1:19" ht="12" customHeight="1" thickBot="1">
      <c r="A23" s="39" t="s">
        <v>36</v>
      </c>
      <c r="B23" s="40"/>
      <c r="C23" s="40"/>
      <c r="D23" s="40"/>
      <c r="E23" s="40"/>
      <c r="F23" s="40"/>
      <c r="G23" s="40"/>
      <c r="H23" s="40"/>
      <c r="I23" s="41"/>
      <c r="J23" s="42">
        <f>SUM(J6:J12,J14:J21)</f>
        <v>1660</v>
      </c>
      <c r="K23" s="43"/>
      <c r="L23" s="44"/>
      <c r="M23" s="42">
        <f>SUM(M6:M12,M14:M21)</f>
        <v>1660</v>
      </c>
      <c r="N23" s="45"/>
      <c r="O23" s="46"/>
      <c r="Q23" s="47"/>
    </row>
    <row r="24" spans="1:19" s="21" customFormat="1" ht="12" customHeight="1">
      <c r="A24" s="48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50"/>
    </row>
    <row r="25" spans="1:19" s="21" customFormat="1" ht="12" customHeight="1" thickBot="1">
      <c r="A25" s="18" t="s">
        <v>103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20"/>
    </row>
    <row r="26" spans="1:19" s="53" customFormat="1" ht="12.75" customHeight="1">
      <c r="A26" s="51" t="s">
        <v>17</v>
      </c>
      <c r="B26" s="22" t="s">
        <v>17</v>
      </c>
      <c r="C26" s="52" t="s">
        <v>83</v>
      </c>
      <c r="D26" s="37" t="s">
        <v>43</v>
      </c>
      <c r="E26" s="33">
        <v>33.869999999999997</v>
      </c>
      <c r="F26" s="34">
        <v>3</v>
      </c>
      <c r="G26" s="33">
        <f t="shared" ref="G26:G27" si="4">E26*F26</f>
        <v>101.60999999999999</v>
      </c>
      <c r="H26" s="34" t="s">
        <v>17</v>
      </c>
      <c r="I26" s="34" t="s">
        <v>17</v>
      </c>
      <c r="J26" s="34" t="str">
        <f t="shared" ref="J26" si="5">IF(H26="-","-",H26*I26)</f>
        <v>-</v>
      </c>
      <c r="K26" s="34" t="s">
        <v>17</v>
      </c>
      <c r="L26" s="34" t="s">
        <v>17</v>
      </c>
      <c r="M26" s="34" t="s">
        <v>17</v>
      </c>
      <c r="N26" s="34" t="s">
        <v>17</v>
      </c>
      <c r="O26" s="35" t="s">
        <v>55</v>
      </c>
      <c r="R26" s="53" t="s">
        <v>24</v>
      </c>
      <c r="S26" s="53">
        <v>4140</v>
      </c>
    </row>
    <row r="27" spans="1:19" s="53" customFormat="1">
      <c r="A27" s="54" t="s">
        <v>104</v>
      </c>
      <c r="B27" s="36" t="s">
        <v>17</v>
      </c>
      <c r="C27" s="52" t="s">
        <v>84</v>
      </c>
      <c r="D27" s="30" t="s">
        <v>41</v>
      </c>
      <c r="E27" s="31">
        <v>35.29</v>
      </c>
      <c r="F27" s="32">
        <v>3</v>
      </c>
      <c r="G27" s="33">
        <f t="shared" si="4"/>
        <v>105.87</v>
      </c>
      <c r="H27" s="34" t="s">
        <v>17</v>
      </c>
      <c r="I27" s="34" t="s">
        <v>17</v>
      </c>
      <c r="J27" s="34">
        <f>K34+K35</f>
        <v>125</v>
      </c>
      <c r="K27" s="34">
        <v>0</v>
      </c>
      <c r="L27" s="34">
        <v>0</v>
      </c>
      <c r="M27" s="34">
        <v>0</v>
      </c>
      <c r="N27" s="34">
        <f t="shared" ref="N27:N28" si="6">IF(H27="-",ROUNDDOWN(M27/G27,0),ROUNDDOWN(J27/G27,0))</f>
        <v>0</v>
      </c>
      <c r="O27" s="35"/>
      <c r="R27" s="53" t="s">
        <v>25</v>
      </c>
      <c r="S27" s="53">
        <v>3000</v>
      </c>
    </row>
    <row r="28" spans="1:19" s="53" customFormat="1">
      <c r="A28" s="54" t="s">
        <v>104</v>
      </c>
      <c r="B28" s="36" t="s">
        <v>105</v>
      </c>
      <c r="C28" s="52" t="s">
        <v>86</v>
      </c>
      <c r="D28" s="55" t="s">
        <v>85</v>
      </c>
      <c r="E28" s="55">
        <v>27.46</v>
      </c>
      <c r="F28" s="34">
        <v>3</v>
      </c>
      <c r="G28" s="33">
        <f t="shared" ref="G28:G37" si="7">E28*F28</f>
        <v>82.38</v>
      </c>
      <c r="H28" s="56">
        <v>3</v>
      </c>
      <c r="I28" s="34">
        <v>30</v>
      </c>
      <c r="J28" s="34">
        <f t="shared" ref="J28" si="8">IF(H28="-","-",H28*I28)</f>
        <v>90</v>
      </c>
      <c r="K28" s="34">
        <v>0</v>
      </c>
      <c r="L28" s="34">
        <v>0</v>
      </c>
      <c r="M28" s="34">
        <v>90</v>
      </c>
      <c r="N28" s="34">
        <f t="shared" si="6"/>
        <v>1</v>
      </c>
      <c r="O28" s="57"/>
      <c r="R28" s="53" t="s">
        <v>26</v>
      </c>
      <c r="S28" s="53" t="e">
        <f>#REF!+#REF!+#REF!+#REF!+#REF!+#REF!</f>
        <v>#REF!</v>
      </c>
    </row>
    <row r="29" spans="1:19" s="53" customFormat="1">
      <c r="A29" s="54" t="s">
        <v>104</v>
      </c>
      <c r="B29" s="36" t="s">
        <v>105</v>
      </c>
      <c r="C29" s="52" t="s">
        <v>88</v>
      </c>
      <c r="D29" s="55" t="s">
        <v>87</v>
      </c>
      <c r="E29" s="55">
        <v>28.68</v>
      </c>
      <c r="F29" s="34">
        <v>3</v>
      </c>
      <c r="G29" s="33">
        <f t="shared" si="7"/>
        <v>86.039999999999992</v>
      </c>
      <c r="H29" s="56">
        <v>8</v>
      </c>
      <c r="I29" s="34">
        <v>30</v>
      </c>
      <c r="J29" s="34">
        <f t="shared" ref="J29" si="9">IF(H29="-","-",H29*I29)</f>
        <v>240</v>
      </c>
      <c r="K29" s="34">
        <v>0</v>
      </c>
      <c r="L29" s="34">
        <v>0</v>
      </c>
      <c r="M29" s="34">
        <f t="shared" ref="M29" si="10">IF(H29="-",K29-L29,J29+K29-L29)</f>
        <v>240</v>
      </c>
      <c r="N29" s="34">
        <f t="shared" si="1"/>
        <v>2</v>
      </c>
      <c r="O29" s="57"/>
      <c r="R29" s="53" t="s">
        <v>27</v>
      </c>
      <c r="S29" s="53">
        <v>3520</v>
      </c>
    </row>
    <row r="30" spans="1:19" s="53" customFormat="1">
      <c r="A30" s="54" t="s">
        <v>104</v>
      </c>
      <c r="B30" s="36" t="s">
        <v>105</v>
      </c>
      <c r="C30" s="52" t="s">
        <v>89</v>
      </c>
      <c r="D30" s="55" t="s">
        <v>90</v>
      </c>
      <c r="E30" s="55">
        <v>20.22</v>
      </c>
      <c r="F30" s="34">
        <v>3</v>
      </c>
      <c r="G30" s="33">
        <f t="shared" si="7"/>
        <v>60.66</v>
      </c>
      <c r="H30" s="56">
        <v>4</v>
      </c>
      <c r="I30" s="34">
        <v>30</v>
      </c>
      <c r="J30" s="34">
        <f t="shared" ref="J30" si="11">IF(H30="-","-",H30*I30)</f>
        <v>120</v>
      </c>
      <c r="K30" s="34">
        <v>0</v>
      </c>
      <c r="L30" s="34">
        <v>0</v>
      </c>
      <c r="M30" s="34">
        <f t="shared" ref="M30" si="12">IF(H30="-",K30-L30,J30+K30-L30)</f>
        <v>120</v>
      </c>
      <c r="N30" s="34">
        <f t="shared" ref="N30" si="13">IF(H30="-",ROUNDDOWN(M30/G30,0),ROUNDDOWN(J30/G30,0))</f>
        <v>1</v>
      </c>
      <c r="O30" s="57"/>
      <c r="R30" s="53" t="s">
        <v>31</v>
      </c>
      <c r="S30" s="53">
        <v>-2910</v>
      </c>
    </row>
    <row r="31" spans="1:19" s="53" customFormat="1">
      <c r="A31" s="54" t="s">
        <v>104</v>
      </c>
      <c r="B31" s="36" t="s">
        <v>105</v>
      </c>
      <c r="C31" s="52" t="s">
        <v>91</v>
      </c>
      <c r="D31" s="55" t="s">
        <v>92</v>
      </c>
      <c r="E31" s="55">
        <v>15.45</v>
      </c>
      <c r="F31" s="34">
        <v>3</v>
      </c>
      <c r="G31" s="33">
        <f>E31*F31</f>
        <v>46.349999999999994</v>
      </c>
      <c r="H31" s="56">
        <v>2</v>
      </c>
      <c r="I31" s="34">
        <v>30</v>
      </c>
      <c r="J31" s="34">
        <f t="shared" ref="J31" si="14">IF(H31="-","-",H31*I31)</f>
        <v>60</v>
      </c>
      <c r="K31" s="34">
        <v>0</v>
      </c>
      <c r="L31" s="34">
        <v>0</v>
      </c>
      <c r="M31" s="34">
        <f t="shared" ref="M31" si="15">IF(H31="-",K31-L31,J31+K31-L31)</f>
        <v>60</v>
      </c>
      <c r="N31" s="34">
        <f t="shared" ref="N31" si="16">IF(H31="-",ROUNDDOWN(M31/G31,0),ROUNDDOWN(J31/G31,0))</f>
        <v>1</v>
      </c>
      <c r="O31" s="57"/>
      <c r="R31" s="53" t="s">
        <v>32</v>
      </c>
      <c r="S31" s="53">
        <v>-2010</v>
      </c>
    </row>
    <row r="32" spans="1:19" s="53" customFormat="1">
      <c r="A32" s="54" t="s">
        <v>104</v>
      </c>
      <c r="B32" s="36" t="s">
        <v>105</v>
      </c>
      <c r="C32" s="52" t="s">
        <v>93</v>
      </c>
      <c r="D32" s="58" t="s">
        <v>94</v>
      </c>
      <c r="E32" s="55">
        <v>15.4</v>
      </c>
      <c r="F32" s="34">
        <v>3</v>
      </c>
      <c r="G32" s="33">
        <f>E32*F32</f>
        <v>46.2</v>
      </c>
      <c r="H32" s="56">
        <v>3</v>
      </c>
      <c r="I32" s="34">
        <v>30</v>
      </c>
      <c r="J32" s="34">
        <f t="shared" ref="J32" si="17">IF(H32="-","-",H32*I32)</f>
        <v>90</v>
      </c>
      <c r="K32" s="34">
        <v>0</v>
      </c>
      <c r="L32" s="34">
        <v>0</v>
      </c>
      <c r="M32" s="34">
        <f t="shared" ref="M32" si="18">IF(H32="-",K32-L32,J32+K32-L32)</f>
        <v>90</v>
      </c>
      <c r="N32" s="34">
        <f t="shared" ref="N32" si="19">IF(H32="-",ROUNDDOWN(M32/G32,0),ROUNDDOWN(J32/G32,0))</f>
        <v>1</v>
      </c>
      <c r="O32" s="57"/>
      <c r="R32" s="53" t="s">
        <v>33</v>
      </c>
      <c r="S32" s="53">
        <v>-2260</v>
      </c>
    </row>
    <row r="33" spans="1:19" s="53" customFormat="1">
      <c r="A33" s="54" t="s">
        <v>104</v>
      </c>
      <c r="B33" s="36" t="s">
        <v>68</v>
      </c>
      <c r="C33" s="52" t="s">
        <v>95</v>
      </c>
      <c r="D33" s="55" t="s">
        <v>96</v>
      </c>
      <c r="E33" s="55">
        <v>9.36</v>
      </c>
      <c r="F33" s="34">
        <v>3</v>
      </c>
      <c r="G33" s="33">
        <f>E33*F33</f>
        <v>28.08</v>
      </c>
      <c r="H33" s="34" t="s">
        <v>17</v>
      </c>
      <c r="I33" s="34" t="s">
        <v>17</v>
      </c>
      <c r="J33" s="34">
        <f>ROUNDUP(G33*N33,0)</f>
        <v>57</v>
      </c>
      <c r="K33" s="34">
        <v>0</v>
      </c>
      <c r="L33" s="34">
        <v>0</v>
      </c>
      <c r="M33" s="34">
        <v>57</v>
      </c>
      <c r="N33" s="34">
        <v>2</v>
      </c>
      <c r="O33" s="57"/>
      <c r="R33" s="53" t="s">
        <v>34</v>
      </c>
      <c r="S33" s="53">
        <v>-2480</v>
      </c>
    </row>
    <row r="34" spans="1:19" s="53" customFormat="1" ht="12.75" customHeight="1">
      <c r="A34" s="54" t="s">
        <v>17</v>
      </c>
      <c r="B34" s="36" t="s">
        <v>67</v>
      </c>
      <c r="C34" s="52" t="s">
        <v>97</v>
      </c>
      <c r="D34" s="55" t="s">
        <v>64</v>
      </c>
      <c r="E34" s="55">
        <v>5.0999999999999996</v>
      </c>
      <c r="F34" s="34">
        <v>3</v>
      </c>
      <c r="G34" s="33">
        <f t="shared" si="7"/>
        <v>15.299999999999999</v>
      </c>
      <c r="H34" s="34" t="s">
        <v>17</v>
      </c>
      <c r="I34" s="34" t="s">
        <v>17</v>
      </c>
      <c r="J34" s="34" t="s">
        <v>17</v>
      </c>
      <c r="K34" s="34">
        <v>75</v>
      </c>
      <c r="L34" s="34">
        <v>0</v>
      </c>
      <c r="M34" s="34">
        <f t="shared" ref="M34" si="20">IF(H34="-",K34-L34,J34+K34-L34)</f>
        <v>75</v>
      </c>
      <c r="N34" s="34">
        <f t="shared" ref="N34" si="21">IF(H34="-",ROUNDDOWN(M34/G34,0),ROUNDDOWN(J34/G34,0))</f>
        <v>4</v>
      </c>
      <c r="O34" s="57"/>
      <c r="R34" s="53" t="s">
        <v>28</v>
      </c>
      <c r="S34" s="53">
        <v>-600</v>
      </c>
    </row>
    <row r="35" spans="1:19" s="53" customFormat="1">
      <c r="A35" s="54" t="s">
        <v>17</v>
      </c>
      <c r="B35" s="36" t="s">
        <v>67</v>
      </c>
      <c r="C35" s="52" t="s">
        <v>98</v>
      </c>
      <c r="D35" s="55" t="s">
        <v>62</v>
      </c>
      <c r="E35" s="55">
        <v>5.0999999999999996</v>
      </c>
      <c r="F35" s="34">
        <v>3</v>
      </c>
      <c r="G35" s="33">
        <f>E35*F35</f>
        <v>15.299999999999999</v>
      </c>
      <c r="H35" s="34" t="s">
        <v>17</v>
      </c>
      <c r="I35" s="34" t="s">
        <v>17</v>
      </c>
      <c r="J35" s="34" t="s">
        <v>17</v>
      </c>
      <c r="K35" s="34">
        <v>50</v>
      </c>
      <c r="L35" s="34">
        <v>0</v>
      </c>
      <c r="M35" s="34">
        <f t="shared" ref="M35:M36" si="22">IF(H35="-",K35-L35,J35+K35-L35)</f>
        <v>50</v>
      </c>
      <c r="N35" s="34">
        <f t="shared" ref="N35:N36" si="23">IF(H35="-",ROUNDDOWN(M35/G35,0),ROUNDDOWN(J35/G35,0))</f>
        <v>3</v>
      </c>
      <c r="O35" s="57"/>
      <c r="R35" s="53" t="s">
        <v>29</v>
      </c>
      <c r="S35" s="53">
        <v>-450</v>
      </c>
    </row>
    <row r="36" spans="1:19" s="53" customFormat="1">
      <c r="A36" s="54" t="s">
        <v>104</v>
      </c>
      <c r="B36" s="36" t="s">
        <v>105</v>
      </c>
      <c r="C36" s="52" t="s">
        <v>99</v>
      </c>
      <c r="D36" s="55" t="s">
        <v>100</v>
      </c>
      <c r="E36" s="55">
        <v>16.72</v>
      </c>
      <c r="F36" s="34">
        <v>3</v>
      </c>
      <c r="G36" s="33">
        <f t="shared" si="7"/>
        <v>50.16</v>
      </c>
      <c r="H36" s="56">
        <v>2</v>
      </c>
      <c r="I36" s="34">
        <v>30</v>
      </c>
      <c r="J36" s="34">
        <f t="shared" ref="J36" si="24">IF(H36="-","-",H36*I36)</f>
        <v>60</v>
      </c>
      <c r="K36" s="34">
        <v>0</v>
      </c>
      <c r="L36" s="34">
        <v>0</v>
      </c>
      <c r="M36" s="34">
        <f t="shared" si="22"/>
        <v>60</v>
      </c>
      <c r="N36" s="34">
        <f t="shared" si="23"/>
        <v>1</v>
      </c>
      <c r="O36" s="57"/>
      <c r="R36" s="53" t="s">
        <v>30</v>
      </c>
      <c r="S36" s="53">
        <f>-630-540</f>
        <v>-1170</v>
      </c>
    </row>
    <row r="37" spans="1:19" s="53" customFormat="1" ht="12" customHeight="1" thickBot="1">
      <c r="A37" s="54" t="s">
        <v>104</v>
      </c>
      <c r="B37" s="36" t="s">
        <v>105</v>
      </c>
      <c r="C37" s="52" t="s">
        <v>101</v>
      </c>
      <c r="D37" s="55" t="s">
        <v>102</v>
      </c>
      <c r="E37" s="55">
        <v>20.52</v>
      </c>
      <c r="F37" s="34">
        <v>3</v>
      </c>
      <c r="G37" s="33">
        <f t="shared" si="7"/>
        <v>61.56</v>
      </c>
      <c r="H37" s="34" t="s">
        <v>17</v>
      </c>
      <c r="I37" s="34" t="s">
        <v>17</v>
      </c>
      <c r="J37" s="34">
        <f>ROUNDUP(G37*N37,0)</f>
        <v>124</v>
      </c>
      <c r="K37" s="34">
        <v>0</v>
      </c>
      <c r="L37" s="34">
        <v>0</v>
      </c>
      <c r="M37" s="34">
        <v>124</v>
      </c>
      <c r="N37" s="34">
        <v>2</v>
      </c>
      <c r="O37" s="57"/>
      <c r="R37" s="53" t="s">
        <v>35</v>
      </c>
      <c r="S37" s="53">
        <v>-600</v>
      </c>
    </row>
    <row r="38" spans="1:19" ht="12" customHeight="1" thickBot="1">
      <c r="A38" s="39" t="s">
        <v>36</v>
      </c>
      <c r="B38" s="40"/>
      <c r="C38" s="40"/>
      <c r="D38" s="40"/>
      <c r="E38" s="40"/>
      <c r="F38" s="40"/>
      <c r="G38" s="40"/>
      <c r="H38" s="40"/>
      <c r="I38" s="41"/>
      <c r="J38" s="42">
        <f>SUM(J26:J37)</f>
        <v>966</v>
      </c>
      <c r="K38" s="43"/>
      <c r="L38" s="44"/>
      <c r="M38" s="42">
        <f>SUM(M26:M37)</f>
        <v>966</v>
      </c>
      <c r="N38" s="45"/>
      <c r="O38" s="46"/>
    </row>
  </sheetData>
  <mergeCells count="15">
    <mergeCell ref="A1:E1"/>
    <mergeCell ref="A38:I38"/>
    <mergeCell ref="K38:L38"/>
    <mergeCell ref="N38:O38"/>
    <mergeCell ref="A23:I23"/>
    <mergeCell ref="A25:O25"/>
    <mergeCell ref="A4:O4"/>
    <mergeCell ref="A24:O24"/>
    <mergeCell ref="K23:L23"/>
    <mergeCell ref="N23:O23"/>
    <mergeCell ref="O2:O3"/>
    <mergeCell ref="B2:B3"/>
    <mergeCell ref="A2:A3"/>
    <mergeCell ref="D2:D3"/>
    <mergeCell ref="C2:C3"/>
  </mergeCells>
  <pageMargins left="0.19685039370078741" right="0.19685039370078741" top="0.98425196850393704" bottom="0.78740157480314965" header="0.39370078740157483" footer="0.39370078740157483"/>
  <pageSetup paperSize="9" orientation="landscape" verticalDpi="597" r:id="rId1"/>
  <rowBreaks count="1" manualBreakCount="1">
    <brk id="23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Kawka</dc:creator>
  <cp:lastModifiedBy>mikolaj</cp:lastModifiedBy>
  <cp:lastPrinted>2017-08-20T18:54:00Z</cp:lastPrinted>
  <dcterms:created xsi:type="dcterms:W3CDTF">2016-12-01T17:29:15Z</dcterms:created>
  <dcterms:modified xsi:type="dcterms:W3CDTF">2017-10-17T07:31:40Z</dcterms:modified>
</cp:coreProperties>
</file>